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checkCompatibility="1" autoCompressPictures="0"/>
  <bookViews>
    <workbookView xWindow="0" yWindow="0" windowWidth="38400" windowHeight="22100" tabRatio="500"/>
  </bookViews>
  <sheets>
    <sheet name="Basic Joint Supplemen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I27" i="1"/>
  <c r="P27" i="1"/>
  <c r="G24" i="1"/>
  <c r="I24" i="1"/>
  <c r="P24" i="1"/>
  <c r="K24" i="1"/>
  <c r="I19" i="1"/>
  <c r="K19" i="1"/>
  <c r="I20" i="1"/>
  <c r="K20" i="1"/>
  <c r="I21" i="1"/>
  <c r="K21" i="1"/>
  <c r="I22" i="1"/>
  <c r="K22" i="1"/>
  <c r="I23" i="1"/>
  <c r="K23" i="1"/>
  <c r="I25" i="1"/>
  <c r="K25" i="1"/>
  <c r="K27" i="1"/>
  <c r="K28" i="1"/>
  <c r="I28" i="1"/>
  <c r="K29" i="1"/>
  <c r="G28" i="1"/>
  <c r="G26" i="1"/>
  <c r="I26" i="1"/>
  <c r="P26" i="1"/>
  <c r="K26" i="1"/>
  <c r="G21" i="1"/>
  <c r="D3" i="1"/>
  <c r="I6" i="1"/>
  <c r="G19" i="1"/>
  <c r="G23" i="1"/>
  <c r="G17" i="1"/>
  <c r="I17" i="1"/>
  <c r="K17" i="1"/>
  <c r="G7" i="1"/>
  <c r="I7" i="1"/>
  <c r="K7" i="1"/>
  <c r="G8" i="1"/>
  <c r="I8" i="1"/>
  <c r="K8" i="1"/>
  <c r="G9" i="1"/>
  <c r="I9" i="1"/>
  <c r="K9" i="1"/>
  <c r="G10" i="1"/>
  <c r="I10" i="1"/>
  <c r="K10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20" i="1"/>
  <c r="G22" i="1"/>
  <c r="G25" i="1"/>
  <c r="G18" i="1"/>
  <c r="I29" i="1"/>
  <c r="G29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5" i="1"/>
  <c r="P28" i="1"/>
</calcChain>
</file>

<file path=xl/sharedStrings.xml><?xml version="1.0" encoding="utf-8"?>
<sst xmlns="http://schemas.openxmlformats.org/spreadsheetml/2006/main" count="211" uniqueCount="93">
  <si>
    <r>
      <t xml:space="preserve">Bulk Mineral Mix Calculator   ~  ALWAYS measure bulk minerals by weight, not volume!  </t>
    </r>
    <r>
      <rPr>
        <i/>
        <sz val="12"/>
        <color indexed="54"/>
        <rFont val="Lucida Sans"/>
      </rPr>
      <t>[when mixing bulk minerals, you should always work in grams, not ounces]</t>
    </r>
  </si>
  <si>
    <t>Enter:  number of horses, number of days, product name and concentration, filler, and daily (per serving) dosage requirement per horse</t>
  </si>
  <si>
    <t>1000 lb horse, 17-21 lbs Hay</t>
  </si>
  <si>
    <t>Total Servings</t>
  </si>
  <si>
    <t>Horses</t>
  </si>
  <si>
    <t>Servings</t>
  </si>
  <si>
    <t>Amounts of Each Product to weigh on your gram scale</t>
  </si>
  <si>
    <t>Pounds (for reference only)</t>
  </si>
  <si>
    <t>Estimated Weekly Cost</t>
  </si>
  <si>
    <t>X Days</t>
  </si>
  <si>
    <t>Dose per Serving</t>
  </si>
  <si>
    <t>WEIGHT of Product per Single Serving</t>
  </si>
  <si>
    <t>Weight of product for</t>
  </si>
  <si>
    <t>Price of Product</t>
  </si>
  <si>
    <t>per</t>
  </si>
  <si>
    <t>Estimated Cost/x days</t>
    <phoneticPr fontId="0"/>
  </si>
  <si>
    <t>Product Name</t>
  </si>
  <si>
    <t>Concentration</t>
  </si>
  <si>
    <t>(elemental mineral amount)</t>
  </si>
  <si>
    <t>unit</t>
  </si>
  <si>
    <t>Protein Supplement</t>
  </si>
  <si>
    <t>N/A</t>
  </si>
  <si>
    <t>Tri-Amino</t>
  </si>
  <si>
    <t>scoop</t>
  </si>
  <si>
    <t>grams</t>
  </si>
  <si>
    <t>lbs</t>
  </si>
  <si>
    <t>Uckele</t>
  </si>
  <si>
    <t>Poly Zinc</t>
  </si>
  <si>
    <t>%</t>
  </si>
  <si>
    <t>Zinc</t>
  </si>
  <si>
    <t>mg</t>
  </si>
  <si>
    <t>HorseTech</t>
  </si>
  <si>
    <t>Poly Copper</t>
  </si>
  <si>
    <t>Copper</t>
  </si>
  <si>
    <t>Poly Manganese</t>
  </si>
  <si>
    <t>Manganese</t>
  </si>
  <si>
    <t>Magnesium Oxide</t>
  </si>
  <si>
    <t>Magnesium</t>
  </si>
  <si>
    <t>g</t>
  </si>
  <si>
    <t>Local</t>
  </si>
  <si>
    <t>Phos-4</t>
  </si>
  <si>
    <t>Phosphorus</t>
  </si>
  <si>
    <t>HorseTech (or Equi-Phos Uckele)</t>
  </si>
  <si>
    <t>Calcium Carbonate</t>
  </si>
  <si>
    <t>Calcium</t>
  </si>
  <si>
    <t>HorseTech (or Equi-Cal Uckele)</t>
  </si>
  <si>
    <t>Sodium Chloride (salt)</t>
  </si>
  <si>
    <t>Local 25#</t>
  </si>
  <si>
    <t>Carrier (ground flax, distillers grains, etc.)</t>
  </si>
  <si>
    <t>Ground Flax</t>
  </si>
  <si>
    <t>oz</t>
  </si>
  <si>
    <t>Local Whole Flax, Nutra Flax, etc.</t>
  </si>
  <si>
    <t>Yeast</t>
  </si>
  <si>
    <t>IU</t>
  </si>
  <si>
    <t>--</t>
  </si>
  <si>
    <t>Vitamin E gel caps</t>
  </si>
  <si>
    <t>IU per cap</t>
  </si>
  <si>
    <t>Vit E caps</t>
  </si>
  <si>
    <t>gel caps</t>
  </si>
  <si>
    <t>caps</t>
  </si>
  <si>
    <t>Swanson, Puritan</t>
  </si>
  <si>
    <t>Biotin</t>
  </si>
  <si>
    <t>kg</t>
  </si>
  <si>
    <t>Pure Bulk</t>
  </si>
  <si>
    <t>Chromium Yeast</t>
  </si>
  <si>
    <t>ppm</t>
  </si>
  <si>
    <t>Chromium</t>
  </si>
  <si>
    <t>Platinum</t>
  </si>
  <si>
    <t>lbs</t>
    <phoneticPr fontId="0"/>
  </si>
  <si>
    <t>Valley Vet</t>
  </si>
  <si>
    <t>Selenium Yeast</t>
  </si>
  <si>
    <t>Selenium</t>
  </si>
  <si>
    <t>Lysine</t>
  </si>
  <si>
    <t>(usual dose 10g)</t>
  </si>
  <si>
    <t>Glucosamine</t>
  </si>
  <si>
    <t>(usual dose 10000 mg)</t>
  </si>
  <si>
    <t>Chondroitin</t>
  </si>
  <si>
    <t>Totals -  Weight per serving / Weight per total servings / Est cost</t>
  </si>
  <si>
    <t>Salt</t>
  </si>
  <si>
    <t>ppm</t>
    <phoneticPr fontId="10"/>
  </si>
  <si>
    <t>Iodine</t>
    <phoneticPr fontId="10"/>
  </si>
  <si>
    <t>mg</t>
    <phoneticPr fontId="10"/>
  </si>
  <si>
    <t>grams</t>
    <phoneticPr fontId="10"/>
  </si>
  <si>
    <t>Mybesthorse</t>
  </si>
  <si>
    <t>Yeast+</t>
  </si>
  <si>
    <t>Diamond V</t>
  </si>
  <si>
    <t>©2007-2011 Desert Equine Balance - Patricia Woodbury Kuvik</t>
  </si>
  <si>
    <t>Methionine</t>
  </si>
  <si>
    <t>(usual dose 3g)</t>
  </si>
  <si>
    <t>MSM</t>
  </si>
  <si>
    <t>Source (original)</t>
  </si>
  <si>
    <t>(usual dose 2-5000 mg*)</t>
  </si>
  <si>
    <t>*Chondroitin give 2xday for allergies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</si>
</sst>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b/>
      <i/>
      <sz val="12"/>
      <color indexed="54"/>
      <name val="Lucida Sans"/>
    </font>
    <font>
      <i/>
      <sz val="12"/>
      <color indexed="54"/>
      <name val="Lucida Sans"/>
    </font>
    <font>
      <sz val="11"/>
      <color indexed="8"/>
      <name val="Lucida Sans"/>
    </font>
    <font>
      <i/>
      <sz val="11"/>
      <color indexed="54"/>
      <name val="Lucida Sans"/>
    </font>
    <font>
      <sz val="11"/>
      <color indexed="54"/>
      <name val="Lucida Sans"/>
    </font>
    <font>
      <b/>
      <sz val="11"/>
      <color indexed="8"/>
      <name val="Lucida Sans"/>
    </font>
    <font>
      <b/>
      <sz val="11"/>
      <color theme="4" tint="-0.249977111117893"/>
      <name val="Lucida Sans"/>
    </font>
    <font>
      <b/>
      <sz val="11"/>
      <color indexed="54"/>
      <name val="Lucida Sans"/>
    </font>
    <font>
      <b/>
      <i/>
      <sz val="11"/>
      <color indexed="8"/>
      <name val="Lucida Sans"/>
    </font>
    <font>
      <b/>
      <i/>
      <u/>
      <sz val="11"/>
      <color indexed="8"/>
      <name val="Lucida Sans"/>
    </font>
    <font>
      <b/>
      <sz val="10"/>
      <color indexed="8"/>
      <name val="Lucida Sans"/>
    </font>
    <font>
      <i/>
      <sz val="11"/>
      <color indexed="8"/>
      <name val="Lucida Sans"/>
    </font>
    <font>
      <b/>
      <sz val="11"/>
      <color indexed="62"/>
      <name val="Lucida Sans"/>
    </font>
    <font>
      <sz val="11"/>
      <name val="Lucida Sans"/>
    </font>
    <font>
      <b/>
      <sz val="11"/>
      <name val="Lucida Sans"/>
    </font>
    <font>
      <sz val="11"/>
      <color indexed="22"/>
      <name val="Lucida Sans"/>
    </font>
    <font>
      <sz val="10"/>
      <name val="Lucida Sans"/>
    </font>
    <font>
      <i/>
      <sz val="11"/>
      <name val="Lucida Sans"/>
    </font>
    <font>
      <u/>
      <sz val="9.35"/>
      <color indexed="12"/>
      <name val="Calibri"/>
      <family val="2"/>
    </font>
    <font>
      <i/>
      <u/>
      <sz val="11"/>
      <color indexed="12"/>
      <name val="Lucida Sans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4" tint="-0.249977111117893"/>
      <name val="Lucida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7" fillId="3" borderId="0" xfId="0" applyFont="1" applyFill="1"/>
    <xf numFmtId="164" fontId="14" fillId="2" borderId="0" xfId="0" applyNumberFormat="1" applyFont="1" applyFill="1"/>
    <xf numFmtId="164" fontId="15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165" fontId="14" fillId="2" borderId="7" xfId="0" applyNumberFormat="1" applyFont="1" applyFill="1" applyBorder="1"/>
    <xf numFmtId="165" fontId="14" fillId="2" borderId="0" xfId="0" applyNumberFormat="1" applyFont="1" applyFill="1"/>
    <xf numFmtId="1" fontId="14" fillId="2" borderId="0" xfId="0" applyNumberFormat="1" applyFont="1" applyFill="1"/>
    <xf numFmtId="0" fontId="16" fillId="2" borderId="0" xfId="0" applyFont="1" applyFill="1"/>
    <xf numFmtId="1" fontId="15" fillId="2" borderId="0" xfId="0" applyNumberFormat="1" applyFont="1" applyFill="1"/>
    <xf numFmtId="2" fontId="15" fillId="2" borderId="0" xfId="0" applyNumberFormat="1" applyFont="1" applyFill="1"/>
    <xf numFmtId="165" fontId="15" fillId="2" borderId="7" xfId="0" applyNumberFormat="1" applyFont="1" applyFill="1" applyBorder="1"/>
    <xf numFmtId="165" fontId="15" fillId="2" borderId="0" xfId="0" applyNumberFormat="1" applyFont="1" applyFill="1"/>
    <xf numFmtId="0" fontId="13" fillId="2" borderId="0" xfId="0" applyFont="1" applyFill="1"/>
    <xf numFmtId="0" fontId="14" fillId="2" borderId="0" xfId="0" quotePrefix="1" applyFont="1" applyFill="1"/>
    <xf numFmtId="0" fontId="17" fillId="2" borderId="0" xfId="0" applyFont="1" applyFill="1"/>
    <xf numFmtId="0" fontId="17" fillId="2" borderId="0" xfId="0" applyFont="1" applyFill="1" applyBorder="1"/>
    <xf numFmtId="0" fontId="14" fillId="2" borderId="0" xfId="0" applyFont="1" applyFill="1" applyBorder="1"/>
    <xf numFmtId="0" fontId="7" fillId="3" borderId="0" xfId="0" applyFont="1" applyFill="1" applyBorder="1"/>
    <xf numFmtId="164" fontId="14" fillId="2" borderId="0" xfId="0" applyNumberFormat="1" applyFont="1" applyFill="1" applyBorder="1"/>
    <xf numFmtId="2" fontId="14" fillId="2" borderId="0" xfId="0" applyNumberFormat="1" applyFont="1" applyFill="1" applyBorder="1"/>
    <xf numFmtId="165" fontId="14" fillId="2" borderId="0" xfId="0" applyNumberFormat="1" applyFont="1" applyFill="1" applyBorder="1"/>
    <xf numFmtId="0" fontId="7" fillId="4" borderId="8" xfId="0" applyFont="1" applyFill="1" applyBorder="1"/>
    <xf numFmtId="0" fontId="9" fillId="2" borderId="0" xfId="0" applyFont="1" applyFill="1"/>
    <xf numFmtId="2" fontId="6" fillId="2" borderId="0" xfId="0" applyNumberFormat="1" applyFont="1" applyFill="1"/>
    <xf numFmtId="0" fontId="6" fillId="2" borderId="0" xfId="0" applyFont="1" applyFill="1"/>
    <xf numFmtId="165" fontId="3" fillId="2" borderId="0" xfId="0" applyNumberFormat="1" applyFont="1" applyFill="1"/>
    <xf numFmtId="165" fontId="6" fillId="2" borderId="0" xfId="0" applyNumberFormat="1" applyFont="1" applyFill="1"/>
    <xf numFmtId="2" fontId="18" fillId="2" borderId="0" xfId="0" applyNumberFormat="1" applyFont="1" applyFill="1"/>
    <xf numFmtId="0" fontId="18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Border="1"/>
    <xf numFmtId="0" fontId="20" fillId="2" borderId="0" xfId="1" applyFont="1" applyFill="1" applyAlignment="1" applyProtection="1"/>
    <xf numFmtId="0" fontId="12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2" borderId="8" xfId="0" applyFont="1" applyFill="1" applyBorder="1"/>
    <xf numFmtId="2" fontId="7" fillId="2" borderId="0" xfId="0" applyNumberFormat="1" applyFont="1" applyFill="1"/>
    <xf numFmtId="0" fontId="7" fillId="2" borderId="0" xfId="0" applyFont="1" applyFill="1" applyAlignment="1">
      <alignment horizontal="right"/>
    </xf>
    <xf numFmtId="165" fontId="7" fillId="2" borderId="7" xfId="0" applyNumberFormat="1" applyFont="1" applyFill="1" applyBorder="1"/>
    <xf numFmtId="165" fontId="7" fillId="2" borderId="0" xfId="0" applyNumberFormat="1" applyFont="1" applyFill="1"/>
    <xf numFmtId="0" fontId="7" fillId="2" borderId="0" xfId="0" applyNumberFormat="1" applyFont="1" applyFill="1"/>
    <xf numFmtId="0" fontId="7" fillId="2" borderId="0" xfId="0" quotePrefix="1" applyFont="1" applyFill="1"/>
    <xf numFmtId="0" fontId="23" fillId="2" borderId="0" xfId="0" applyFont="1" applyFill="1"/>
    <xf numFmtId="165" fontId="7" fillId="2" borderId="9" xfId="0" applyNumberFormat="1" applyFont="1" applyFill="1" applyBorder="1"/>
    <xf numFmtId="165" fontId="7" fillId="2" borderId="8" xfId="0" applyNumberFormat="1" applyFont="1" applyFill="1" applyBorder="1"/>
    <xf numFmtId="0" fontId="7" fillId="5" borderId="2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164" fontId="14" fillId="5" borderId="0" xfId="0" applyNumberFormat="1" applyFont="1" applyFill="1"/>
    <xf numFmtId="0" fontId="14" fillId="5" borderId="0" xfId="0" applyFont="1" applyFill="1"/>
    <xf numFmtId="164" fontId="7" fillId="5" borderId="0" xfId="0" applyNumberFormat="1" applyFont="1" applyFill="1"/>
    <xf numFmtId="0" fontId="7" fillId="5" borderId="0" xfId="0" applyFont="1" applyFill="1"/>
    <xf numFmtId="164" fontId="15" fillId="5" borderId="0" xfId="0" applyNumberFormat="1" applyFont="1" applyFill="1"/>
    <xf numFmtId="49" fontId="15" fillId="5" borderId="0" xfId="0" applyNumberFormat="1" applyFont="1" applyFill="1"/>
    <xf numFmtId="164" fontId="14" fillId="5" borderId="0" xfId="0" applyNumberFormat="1" applyFont="1" applyFill="1" applyBorder="1"/>
    <xf numFmtId="0" fontId="14" fillId="5" borderId="0" xfId="0" applyFont="1" applyFill="1" applyBorder="1"/>
    <xf numFmtId="2" fontId="6" fillId="5" borderId="0" xfId="0" applyNumberFormat="1" applyFont="1" applyFill="1"/>
    <xf numFmtId="0" fontId="13" fillId="5" borderId="0" xfId="0" applyFont="1" applyFill="1"/>
    <xf numFmtId="2" fontId="18" fillId="5" borderId="0" xfId="0" applyNumberFormat="1" applyFont="1" applyFill="1"/>
    <xf numFmtId="0" fontId="18" fillId="5" borderId="0" xfId="0" applyFont="1" applyFill="1"/>
    <xf numFmtId="0" fontId="23" fillId="2" borderId="8" xfId="0" applyFont="1" applyFill="1" applyBorder="1"/>
    <xf numFmtId="0" fontId="23" fillId="2" borderId="0" xfId="0" applyFont="1" applyFill="1" applyBorder="1"/>
    <xf numFmtId="0" fontId="7" fillId="2" borderId="0" xfId="0" applyFont="1" applyFill="1" applyBorder="1"/>
    <xf numFmtId="0" fontId="7" fillId="4" borderId="0" xfId="0" applyFont="1" applyFill="1" applyBorder="1"/>
    <xf numFmtId="164" fontId="7" fillId="2" borderId="0" xfId="0" applyNumberFormat="1" applyFont="1" applyFill="1" applyBorder="1"/>
    <xf numFmtId="164" fontId="7" fillId="5" borderId="0" xfId="0" applyNumberFormat="1" applyFont="1" applyFill="1" applyBorder="1"/>
    <xf numFmtId="0" fontId="7" fillId="5" borderId="0" xfId="0" applyFont="1" applyFill="1" applyBorder="1"/>
    <xf numFmtId="2" fontId="7" fillId="2" borderId="0" xfId="0" applyNumberFormat="1" applyFont="1" applyFill="1" applyBorder="1"/>
    <xf numFmtId="165" fontId="7" fillId="2" borderId="0" xfId="0" applyNumberFormat="1" applyFont="1" applyFill="1" applyBorder="1"/>
    <xf numFmtId="0" fontId="14" fillId="2" borderId="8" xfId="0" applyFont="1" applyFill="1" applyBorder="1"/>
    <xf numFmtId="164" fontId="14" fillId="2" borderId="8" xfId="0" applyNumberFormat="1" applyFont="1" applyFill="1" applyBorder="1"/>
    <xf numFmtId="164" fontId="14" fillId="5" borderId="8" xfId="0" applyNumberFormat="1" applyFont="1" applyFill="1" applyBorder="1"/>
    <xf numFmtId="0" fontId="14" fillId="5" borderId="8" xfId="0" applyFont="1" applyFill="1" applyBorder="1"/>
    <xf numFmtId="2" fontId="14" fillId="2" borderId="8" xfId="0" applyNumberFormat="1" applyFont="1" applyFill="1" applyBorder="1"/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3" fillId="5" borderId="4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</cellXfs>
  <cellStyles count="1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U33"/>
  <sheetViews>
    <sheetView tabSelected="1" zoomScale="125" zoomScaleNormal="125" zoomScalePageLayoutView="125" workbookViewId="0">
      <selection activeCell="G43" sqref="G43"/>
    </sheetView>
  </sheetViews>
  <sheetFormatPr baseColWidth="10" defaultColWidth="8.6640625" defaultRowHeight="14" x14ac:dyDescent="0"/>
  <cols>
    <col min="1" max="1" width="22" style="1" customWidth="1"/>
    <col min="2" max="2" width="12.1640625" style="1" customWidth="1"/>
    <col min="3" max="3" width="11.6640625" style="1" customWidth="1"/>
    <col min="4" max="4" width="13.83203125" style="1" customWidth="1"/>
    <col min="5" max="5" width="12.83203125" style="1" customWidth="1"/>
    <col min="6" max="6" width="12.1640625" style="1" customWidth="1"/>
    <col min="7" max="7" width="10.5" style="1" customWidth="1"/>
    <col min="8" max="8" width="8.83203125" style="1" customWidth="1"/>
    <col min="9" max="9" width="10.33203125" style="1" customWidth="1"/>
    <col min="10" max="10" width="8.83203125" style="1" customWidth="1"/>
    <col min="11" max="11" width="8.5" style="1" customWidth="1"/>
    <col min="12" max="12" width="4.33203125" style="1" customWidth="1"/>
    <col min="13" max="13" width="8.83203125" style="1" bestFit="1" customWidth="1"/>
    <col min="14" max="15" width="4.5" style="1" customWidth="1"/>
    <col min="16" max="16" width="10.6640625" style="1" customWidth="1"/>
    <col min="17" max="17" width="4.1640625" style="1" customWidth="1"/>
    <col min="18" max="16384" width="8.6640625" style="1"/>
  </cols>
  <sheetData>
    <row r="1" spans="1:20" ht="22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20" ht="16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2"/>
      <c r="L2" s="2"/>
      <c r="M2" s="90" t="s">
        <v>2</v>
      </c>
      <c r="N2" s="91"/>
      <c r="O2" s="91"/>
      <c r="P2" s="91"/>
      <c r="Q2" s="91"/>
      <c r="R2" s="124"/>
      <c r="S2" s="124"/>
      <c r="T2" s="124"/>
    </row>
    <row r="3" spans="1:20" ht="15" customHeight="1">
      <c r="A3" s="92" t="s">
        <v>3</v>
      </c>
      <c r="B3" s="3" t="s">
        <v>4</v>
      </c>
      <c r="C3" s="4">
        <v>1</v>
      </c>
      <c r="D3" s="94">
        <f>C3*C4</f>
        <v>30</v>
      </c>
      <c r="E3" s="96" t="s">
        <v>5</v>
      </c>
      <c r="F3" s="5"/>
      <c r="G3" s="98" t="s">
        <v>6</v>
      </c>
      <c r="H3" s="99"/>
      <c r="I3" s="99"/>
      <c r="J3" s="100"/>
      <c r="K3" s="104" t="s">
        <v>7</v>
      </c>
      <c r="L3" s="105"/>
      <c r="M3" s="110" t="s">
        <v>8</v>
      </c>
      <c r="N3" s="111"/>
      <c r="O3" s="111"/>
      <c r="P3" s="111"/>
      <c r="Q3" s="6"/>
    </row>
    <row r="4" spans="1:20">
      <c r="A4" s="93"/>
      <c r="B4" s="7" t="s">
        <v>9</v>
      </c>
      <c r="C4" s="4">
        <v>30</v>
      </c>
      <c r="D4" s="95"/>
      <c r="E4" s="97"/>
      <c r="F4" s="8"/>
      <c r="G4" s="101"/>
      <c r="H4" s="102"/>
      <c r="I4" s="102"/>
      <c r="J4" s="103"/>
      <c r="K4" s="106"/>
      <c r="L4" s="107"/>
      <c r="M4" s="112"/>
      <c r="N4" s="111"/>
      <c r="O4" s="111"/>
      <c r="P4" s="111"/>
      <c r="Q4" s="6"/>
    </row>
    <row r="5" spans="1:20" ht="15" customHeight="1">
      <c r="A5" s="9"/>
      <c r="B5" s="9"/>
      <c r="C5" s="10"/>
      <c r="D5" s="113" t="s">
        <v>10</v>
      </c>
      <c r="E5" s="113"/>
      <c r="F5" s="113"/>
      <c r="G5" s="114" t="s">
        <v>11</v>
      </c>
      <c r="H5" s="115"/>
      <c r="I5" s="118" t="s">
        <v>12</v>
      </c>
      <c r="J5" s="119"/>
      <c r="K5" s="106"/>
      <c r="L5" s="107"/>
      <c r="M5" s="120" t="s">
        <v>13</v>
      </c>
      <c r="N5" s="122" t="s">
        <v>14</v>
      </c>
      <c r="O5" s="122"/>
      <c r="P5" s="107" t="s">
        <v>15</v>
      </c>
      <c r="Q5" s="107"/>
    </row>
    <row r="6" spans="1:20">
      <c r="A6" s="11" t="s">
        <v>16</v>
      </c>
      <c r="B6" s="97" t="s">
        <v>17</v>
      </c>
      <c r="C6" s="97"/>
      <c r="D6" s="93" t="s">
        <v>18</v>
      </c>
      <c r="E6" s="93"/>
      <c r="F6" s="93"/>
      <c r="G6" s="116"/>
      <c r="H6" s="117"/>
      <c r="I6" s="60">
        <f>D3</f>
        <v>30</v>
      </c>
      <c r="J6" s="61" t="s">
        <v>5</v>
      </c>
      <c r="K6" s="108"/>
      <c r="L6" s="109"/>
      <c r="M6" s="121"/>
      <c r="N6" s="123" t="s">
        <v>19</v>
      </c>
      <c r="O6" s="123"/>
      <c r="P6" s="109"/>
      <c r="Q6" s="109"/>
      <c r="R6" s="124"/>
      <c r="S6" s="124"/>
      <c r="T6" s="124"/>
    </row>
    <row r="7" spans="1:20" s="12" customFormat="1">
      <c r="A7" s="12" t="s">
        <v>20</v>
      </c>
      <c r="B7" s="13" t="s">
        <v>21</v>
      </c>
      <c r="D7" s="12" t="s">
        <v>22</v>
      </c>
      <c r="E7" s="14">
        <v>0</v>
      </c>
      <c r="F7" s="12" t="s">
        <v>23</v>
      </c>
      <c r="G7" s="15">
        <f>E7*17</f>
        <v>0</v>
      </c>
      <c r="H7" s="12" t="s">
        <v>24</v>
      </c>
      <c r="I7" s="62">
        <f t="shared" ref="I7:I16" si="0">G7*$I$6</f>
        <v>0</v>
      </c>
      <c r="J7" s="63" t="s">
        <v>24</v>
      </c>
      <c r="K7" s="18">
        <f t="shared" ref="K7:K16" si="1">I7/453.6</f>
        <v>0</v>
      </c>
      <c r="L7" s="12" t="s">
        <v>25</v>
      </c>
      <c r="M7" s="19">
        <v>15</v>
      </c>
      <c r="N7" s="12">
        <v>2</v>
      </c>
      <c r="O7" s="20" t="s">
        <v>25</v>
      </c>
      <c r="P7" s="20">
        <f t="shared" ref="P7:P15" si="2">M7/(N7*453.6)*I7</f>
        <v>0</v>
      </c>
      <c r="Q7" s="20" t="s">
        <v>26</v>
      </c>
    </row>
    <row r="8" spans="1:20">
      <c r="A8" s="12" t="s">
        <v>27</v>
      </c>
      <c r="B8" s="12">
        <v>22</v>
      </c>
      <c r="C8" s="12" t="s">
        <v>28</v>
      </c>
      <c r="D8" s="12" t="s">
        <v>29</v>
      </c>
      <c r="E8" s="14">
        <v>0</v>
      </c>
      <c r="F8" s="12" t="s">
        <v>30</v>
      </c>
      <c r="G8" s="15">
        <f>E8/((B8/100)*1000)</f>
        <v>0</v>
      </c>
      <c r="H8" s="12" t="s">
        <v>24</v>
      </c>
      <c r="I8" s="62">
        <f t="shared" si="0"/>
        <v>0</v>
      </c>
      <c r="J8" s="63" t="s">
        <v>24</v>
      </c>
      <c r="K8" s="18">
        <f t="shared" si="1"/>
        <v>0</v>
      </c>
      <c r="L8" s="12" t="s">
        <v>25</v>
      </c>
      <c r="M8" s="19">
        <v>29.95</v>
      </c>
      <c r="N8" s="12">
        <v>4</v>
      </c>
      <c r="O8" s="20" t="s">
        <v>25</v>
      </c>
      <c r="P8" s="20">
        <f t="shared" si="2"/>
        <v>0</v>
      </c>
      <c r="Q8" s="20" t="s">
        <v>31</v>
      </c>
      <c r="R8" s="12"/>
    </row>
    <row r="9" spans="1:20">
      <c r="A9" s="12" t="s">
        <v>32</v>
      </c>
      <c r="B9" s="12">
        <v>12.7</v>
      </c>
      <c r="C9" s="12" t="s">
        <v>28</v>
      </c>
      <c r="D9" s="12" t="s">
        <v>33</v>
      </c>
      <c r="E9" s="14">
        <v>0</v>
      </c>
      <c r="F9" s="12" t="s">
        <v>30</v>
      </c>
      <c r="G9" s="15">
        <f>E9/((B9/100)*1000)</f>
        <v>0</v>
      </c>
      <c r="H9" s="12" t="s">
        <v>24</v>
      </c>
      <c r="I9" s="62">
        <f t="shared" si="0"/>
        <v>0</v>
      </c>
      <c r="J9" s="63" t="s">
        <v>24</v>
      </c>
      <c r="K9" s="18">
        <f t="shared" si="1"/>
        <v>0</v>
      </c>
      <c r="L9" s="12" t="s">
        <v>25</v>
      </c>
      <c r="M9" s="19">
        <v>23.95</v>
      </c>
      <c r="N9" s="12">
        <v>3</v>
      </c>
      <c r="O9" s="20" t="s">
        <v>25</v>
      </c>
      <c r="P9" s="20">
        <f t="shared" si="2"/>
        <v>0</v>
      </c>
      <c r="Q9" s="20" t="s">
        <v>31</v>
      </c>
      <c r="R9" s="12"/>
    </row>
    <row r="10" spans="1:20" s="22" customFormat="1">
      <c r="A10" s="12" t="s">
        <v>34</v>
      </c>
      <c r="B10" s="21">
        <v>16</v>
      </c>
      <c r="C10" s="12" t="s">
        <v>28</v>
      </c>
      <c r="D10" s="12" t="s">
        <v>35</v>
      </c>
      <c r="E10" s="14"/>
      <c r="F10" s="12" t="s">
        <v>30</v>
      </c>
      <c r="G10" s="15">
        <f>E10/((B10/100)*1000)</f>
        <v>0</v>
      </c>
      <c r="H10" s="12" t="s">
        <v>24</v>
      </c>
      <c r="I10" s="62">
        <f t="shared" si="0"/>
        <v>0</v>
      </c>
      <c r="J10" s="63" t="s">
        <v>24</v>
      </c>
      <c r="K10" s="18">
        <f t="shared" si="1"/>
        <v>0</v>
      </c>
      <c r="L10" s="12" t="s">
        <v>25</v>
      </c>
      <c r="M10" s="19">
        <v>26.95</v>
      </c>
      <c r="N10" s="12">
        <v>3</v>
      </c>
      <c r="O10" s="20" t="s">
        <v>25</v>
      </c>
      <c r="P10" s="20">
        <f t="shared" si="2"/>
        <v>0</v>
      </c>
      <c r="Q10" s="20" t="s">
        <v>31</v>
      </c>
      <c r="R10" s="12"/>
    </row>
    <row r="11" spans="1:20" s="27" customFormat="1">
      <c r="A11" s="17"/>
      <c r="B11" s="23"/>
      <c r="C11" s="17"/>
      <c r="D11" s="17"/>
      <c r="E11" s="14"/>
      <c r="F11" s="17"/>
      <c r="G11" s="16"/>
      <c r="H11" s="17"/>
      <c r="I11" s="62"/>
      <c r="J11" s="63"/>
      <c r="K11" s="24"/>
      <c r="L11" s="17"/>
      <c r="M11" s="25"/>
      <c r="N11" s="17"/>
      <c r="O11" s="26"/>
      <c r="P11" s="20"/>
      <c r="Q11" s="17"/>
      <c r="R11" s="17"/>
    </row>
    <row r="12" spans="1:20">
      <c r="A12" s="12" t="s">
        <v>36</v>
      </c>
      <c r="B12" s="12">
        <v>56</v>
      </c>
      <c r="C12" s="12" t="s">
        <v>28</v>
      </c>
      <c r="D12" s="12" t="s">
        <v>37</v>
      </c>
      <c r="E12" s="14">
        <v>0</v>
      </c>
      <c r="F12" s="12" t="s">
        <v>38</v>
      </c>
      <c r="G12" s="15">
        <f>E12/((B12/100))</f>
        <v>0</v>
      </c>
      <c r="H12" s="12" t="s">
        <v>24</v>
      </c>
      <c r="I12" s="62">
        <f t="shared" si="0"/>
        <v>0</v>
      </c>
      <c r="J12" s="63" t="s">
        <v>24</v>
      </c>
      <c r="K12" s="18">
        <f t="shared" si="1"/>
        <v>0</v>
      </c>
      <c r="L12" s="12" t="s">
        <v>25</v>
      </c>
      <c r="M12" s="19">
        <v>37.950000000000003</v>
      </c>
      <c r="N12" s="12">
        <v>50</v>
      </c>
      <c r="O12" s="20" t="s">
        <v>25</v>
      </c>
      <c r="P12" s="20">
        <f t="shared" si="2"/>
        <v>0</v>
      </c>
      <c r="Q12" s="20" t="s">
        <v>39</v>
      </c>
      <c r="R12" s="12"/>
    </row>
    <row r="13" spans="1:20" s="22" customFormat="1">
      <c r="A13" s="12" t="s">
        <v>40</v>
      </c>
      <c r="B13" s="12">
        <v>19</v>
      </c>
      <c r="C13" s="12" t="s">
        <v>28</v>
      </c>
      <c r="D13" s="12" t="s">
        <v>41</v>
      </c>
      <c r="E13" s="14">
        <v>0</v>
      </c>
      <c r="F13" s="12" t="s">
        <v>38</v>
      </c>
      <c r="G13" s="15">
        <f>E13/((B13/100))</f>
        <v>0</v>
      </c>
      <c r="H13" s="12" t="s">
        <v>24</v>
      </c>
      <c r="I13" s="62">
        <f t="shared" si="0"/>
        <v>0</v>
      </c>
      <c r="J13" s="63" t="s">
        <v>24</v>
      </c>
      <c r="K13" s="18">
        <f t="shared" si="1"/>
        <v>0</v>
      </c>
      <c r="L13" s="12" t="s">
        <v>25</v>
      </c>
      <c r="M13" s="19">
        <v>66.36</v>
      </c>
      <c r="N13" s="12">
        <v>20</v>
      </c>
      <c r="O13" s="20" t="s">
        <v>25</v>
      </c>
      <c r="P13" s="20">
        <f t="shared" si="2"/>
        <v>0</v>
      </c>
      <c r="Q13" s="20" t="s">
        <v>42</v>
      </c>
      <c r="R13" s="12"/>
    </row>
    <row r="14" spans="1:20" s="22" customFormat="1">
      <c r="A14" s="12" t="s">
        <v>43</v>
      </c>
      <c r="B14" s="12">
        <v>28.5</v>
      </c>
      <c r="C14" s="12" t="s">
        <v>28</v>
      </c>
      <c r="D14" s="12" t="s">
        <v>44</v>
      </c>
      <c r="E14" s="14"/>
      <c r="F14" s="12" t="s">
        <v>38</v>
      </c>
      <c r="G14" s="15">
        <f>E14/((B14/100))</f>
        <v>0</v>
      </c>
      <c r="H14" s="12" t="s">
        <v>24</v>
      </c>
      <c r="I14" s="62">
        <f t="shared" si="0"/>
        <v>0</v>
      </c>
      <c r="J14" s="63" t="s">
        <v>24</v>
      </c>
      <c r="K14" s="18">
        <f t="shared" si="1"/>
        <v>0</v>
      </c>
      <c r="L14" s="12" t="s">
        <v>25</v>
      </c>
      <c r="M14" s="19">
        <v>14.95</v>
      </c>
      <c r="N14" s="12">
        <v>10</v>
      </c>
      <c r="O14" s="12" t="s">
        <v>25</v>
      </c>
      <c r="P14" s="20">
        <f t="shared" si="2"/>
        <v>0</v>
      </c>
      <c r="Q14" s="12" t="s">
        <v>45</v>
      </c>
      <c r="R14" s="12"/>
    </row>
    <row r="15" spans="1:20">
      <c r="A15" s="12" t="s">
        <v>46</v>
      </c>
      <c r="B15" s="12"/>
      <c r="C15" s="12"/>
      <c r="D15" s="12" t="s">
        <v>78</v>
      </c>
      <c r="E15" s="14">
        <v>0</v>
      </c>
      <c r="F15" s="12" t="s">
        <v>50</v>
      </c>
      <c r="G15" s="15">
        <f>E15*28.4</f>
        <v>0</v>
      </c>
      <c r="H15" s="12" t="s">
        <v>24</v>
      </c>
      <c r="I15" s="62">
        <f t="shared" si="0"/>
        <v>0</v>
      </c>
      <c r="J15" s="63" t="s">
        <v>24</v>
      </c>
      <c r="K15" s="18">
        <f t="shared" si="1"/>
        <v>0</v>
      </c>
      <c r="L15" s="12" t="s">
        <v>25</v>
      </c>
      <c r="M15" s="19">
        <v>5</v>
      </c>
      <c r="N15" s="12">
        <v>25</v>
      </c>
      <c r="O15" s="20" t="s">
        <v>25</v>
      </c>
      <c r="P15" s="20">
        <f t="shared" si="2"/>
        <v>0</v>
      </c>
      <c r="Q15" s="20" t="s">
        <v>47</v>
      </c>
      <c r="R15" s="12"/>
    </row>
    <row r="16" spans="1:20">
      <c r="A16" s="12" t="s">
        <v>48</v>
      </c>
      <c r="B16" s="12"/>
      <c r="C16" s="12"/>
      <c r="D16" s="12" t="s">
        <v>49</v>
      </c>
      <c r="E16" s="14">
        <v>0</v>
      </c>
      <c r="F16" s="12" t="s">
        <v>50</v>
      </c>
      <c r="G16" s="15">
        <f>E16*28.3</f>
        <v>0</v>
      </c>
      <c r="H16" s="12" t="s">
        <v>24</v>
      </c>
      <c r="I16" s="62">
        <f t="shared" si="0"/>
        <v>0</v>
      </c>
      <c r="J16" s="63" t="s">
        <v>24</v>
      </c>
      <c r="K16" s="18">
        <f t="shared" si="1"/>
        <v>0</v>
      </c>
      <c r="L16" s="12" t="s">
        <v>25</v>
      </c>
      <c r="M16" s="19">
        <v>32</v>
      </c>
      <c r="N16" s="12">
        <v>50</v>
      </c>
      <c r="O16" s="20" t="s">
        <v>25</v>
      </c>
      <c r="P16" s="20">
        <f>M16/(N16*453.6)*I16</f>
        <v>0</v>
      </c>
      <c r="Q16" s="20" t="s">
        <v>51</v>
      </c>
      <c r="R16" s="20"/>
    </row>
    <row r="17" spans="1:21">
      <c r="A17" s="49" t="s">
        <v>84</v>
      </c>
      <c r="B17" s="52" t="s">
        <v>21</v>
      </c>
      <c r="C17" s="49"/>
      <c r="D17" s="49" t="s">
        <v>52</v>
      </c>
      <c r="E17" s="14">
        <v>1.1499999999999999</v>
      </c>
      <c r="F17" s="49" t="s">
        <v>50</v>
      </c>
      <c r="G17" s="48">
        <f>E17*28.4</f>
        <v>32.659999999999997</v>
      </c>
      <c r="H17" s="49" t="s">
        <v>24</v>
      </c>
      <c r="I17" s="64">
        <f>G17*$I$6</f>
        <v>979.8</v>
      </c>
      <c r="J17" s="65" t="s">
        <v>24</v>
      </c>
      <c r="K17" s="51">
        <f>I17/453.6</f>
        <v>2.1600529100529098</v>
      </c>
      <c r="L17" s="49" t="s">
        <v>25</v>
      </c>
      <c r="M17" s="53">
        <v>36</v>
      </c>
      <c r="N17" s="49">
        <v>50</v>
      </c>
      <c r="O17" s="54" t="s">
        <v>25</v>
      </c>
      <c r="P17" s="54">
        <f>M17/(N17*453.6)*I17</f>
        <v>1.5552380952380951</v>
      </c>
      <c r="Q17" s="54" t="s">
        <v>85</v>
      </c>
      <c r="R17" s="54"/>
    </row>
    <row r="18" spans="1:21">
      <c r="A18" s="12" t="s">
        <v>55</v>
      </c>
      <c r="B18" s="12">
        <v>400</v>
      </c>
      <c r="C18" s="12" t="s">
        <v>56</v>
      </c>
      <c r="D18" s="12" t="s">
        <v>57</v>
      </c>
      <c r="E18" s="14">
        <v>0</v>
      </c>
      <c r="F18" s="12" t="s">
        <v>53</v>
      </c>
      <c r="G18" s="21">
        <f>E18/B18</f>
        <v>0</v>
      </c>
      <c r="H18" s="12" t="s">
        <v>58</v>
      </c>
      <c r="I18" s="66"/>
      <c r="J18" s="67" t="s">
        <v>54</v>
      </c>
      <c r="K18" s="18"/>
      <c r="L18" s="28" t="s">
        <v>54</v>
      </c>
      <c r="M18" s="19">
        <v>6.99</v>
      </c>
      <c r="N18" s="12">
        <v>250</v>
      </c>
      <c r="O18" s="20" t="s">
        <v>59</v>
      </c>
      <c r="P18" s="20">
        <f>M18/N18*G18*D3</f>
        <v>0</v>
      </c>
      <c r="Q18" s="20" t="s">
        <v>60</v>
      </c>
      <c r="R18" s="12"/>
    </row>
    <row r="19" spans="1:21" s="12" customFormat="1">
      <c r="A19" s="49" t="s">
        <v>61</v>
      </c>
      <c r="B19" s="55">
        <v>1</v>
      </c>
      <c r="C19" s="49" t="s">
        <v>28</v>
      </c>
      <c r="D19" s="49" t="s">
        <v>61</v>
      </c>
      <c r="E19" s="14">
        <v>20</v>
      </c>
      <c r="F19" s="49" t="s">
        <v>30</v>
      </c>
      <c r="G19" s="48">
        <f>E19/((B19/100)*1000)</f>
        <v>2</v>
      </c>
      <c r="H19" s="49" t="s">
        <v>24</v>
      </c>
      <c r="I19" s="64">
        <f t="shared" ref="I19:I25" si="3">G19*$I$6</f>
        <v>60</v>
      </c>
      <c r="J19" s="65" t="s">
        <v>24</v>
      </c>
      <c r="K19" s="51">
        <f t="shared" ref="K19:K25" si="4">I19/453.6</f>
        <v>0.13227513227513227</v>
      </c>
      <c r="L19" s="56"/>
      <c r="M19" s="53">
        <v>64</v>
      </c>
      <c r="N19" s="49">
        <v>1</v>
      </c>
      <c r="O19" s="54" t="s">
        <v>62</v>
      </c>
      <c r="P19" s="54">
        <f>M19/(N19*1000)*I19</f>
        <v>3.84</v>
      </c>
      <c r="Q19" s="49" t="s">
        <v>63</v>
      </c>
      <c r="R19" s="49"/>
    </row>
    <row r="20" spans="1:21">
      <c r="A20" s="29" t="s">
        <v>64</v>
      </c>
      <c r="B20" s="12">
        <v>2000</v>
      </c>
      <c r="C20" s="12" t="s">
        <v>65</v>
      </c>
      <c r="D20" s="12" t="s">
        <v>66</v>
      </c>
      <c r="E20" s="14">
        <v>0</v>
      </c>
      <c r="F20" s="12" t="s">
        <v>30</v>
      </c>
      <c r="G20" s="15">
        <f>E20/(B20/1000)</f>
        <v>0</v>
      </c>
      <c r="H20" s="12" t="s">
        <v>24</v>
      </c>
      <c r="I20" s="62">
        <f t="shared" si="3"/>
        <v>0</v>
      </c>
      <c r="J20" s="63" t="s">
        <v>24</v>
      </c>
      <c r="K20" s="18">
        <f t="shared" si="4"/>
        <v>0</v>
      </c>
      <c r="L20" s="12" t="s">
        <v>25</v>
      </c>
      <c r="M20" s="19">
        <v>155</v>
      </c>
      <c r="N20" s="12">
        <v>4</v>
      </c>
      <c r="O20" s="20" t="s">
        <v>25</v>
      </c>
      <c r="P20" s="20">
        <f>M20/(N20*453.6)*I20</f>
        <v>0</v>
      </c>
      <c r="Q20" s="20" t="s">
        <v>67</v>
      </c>
      <c r="R20" s="12"/>
    </row>
    <row r="21" spans="1:21">
      <c r="A21" s="29" t="s">
        <v>90</v>
      </c>
      <c r="B21" s="12">
        <v>600</v>
      </c>
      <c r="C21" s="12" t="s">
        <v>79</v>
      </c>
      <c r="D21" s="12" t="s">
        <v>80</v>
      </c>
      <c r="E21" s="14">
        <v>0</v>
      </c>
      <c r="F21" s="12" t="s">
        <v>81</v>
      </c>
      <c r="G21" s="15">
        <f>E21/(B21/1000)</f>
        <v>0</v>
      </c>
      <c r="H21" s="12" t="s">
        <v>82</v>
      </c>
      <c r="I21" s="62">
        <f t="shared" si="3"/>
        <v>0</v>
      </c>
      <c r="J21" s="63" t="s">
        <v>24</v>
      </c>
      <c r="K21" s="18">
        <f t="shared" si="4"/>
        <v>0</v>
      </c>
      <c r="L21" s="12"/>
      <c r="M21" s="19">
        <v>128.9</v>
      </c>
      <c r="N21" s="12">
        <v>30</v>
      </c>
      <c r="O21" s="20" t="s">
        <v>68</v>
      </c>
      <c r="P21" s="20">
        <f>M21/(N21*453.6)*I21</f>
        <v>0</v>
      </c>
      <c r="Q21" s="20" t="s">
        <v>69</v>
      </c>
      <c r="R21" s="12"/>
    </row>
    <row r="22" spans="1:21">
      <c r="A22" s="30" t="s">
        <v>70</v>
      </c>
      <c r="B22" s="31">
        <v>2000</v>
      </c>
      <c r="C22" s="31" t="s">
        <v>65</v>
      </c>
      <c r="D22" s="31" t="s">
        <v>71</v>
      </c>
      <c r="E22" s="32">
        <v>0</v>
      </c>
      <c r="F22" s="31" t="s">
        <v>30</v>
      </c>
      <c r="G22" s="33">
        <f>E22/(B22/1000)</f>
        <v>0</v>
      </c>
      <c r="H22" s="31" t="s">
        <v>24</v>
      </c>
      <c r="I22" s="68">
        <f t="shared" si="3"/>
        <v>0</v>
      </c>
      <c r="J22" s="69" t="s">
        <v>24</v>
      </c>
      <c r="K22" s="34">
        <f t="shared" si="4"/>
        <v>0</v>
      </c>
      <c r="L22" s="31" t="s">
        <v>25</v>
      </c>
      <c r="M22" s="19">
        <v>84</v>
      </c>
      <c r="N22" s="31">
        <v>4</v>
      </c>
      <c r="O22" s="35" t="s">
        <v>25</v>
      </c>
      <c r="P22" s="35">
        <f>M22/(N22*453.6)*I22</f>
        <v>0</v>
      </c>
      <c r="Q22" s="31" t="s">
        <v>67</v>
      </c>
      <c r="R22" s="31"/>
    </row>
    <row r="23" spans="1:21">
      <c r="A23" s="57" t="s">
        <v>72</v>
      </c>
      <c r="B23" s="49">
        <v>100</v>
      </c>
      <c r="C23" s="49" t="s">
        <v>28</v>
      </c>
      <c r="D23" s="49" t="s">
        <v>72</v>
      </c>
      <c r="E23" s="14">
        <v>10</v>
      </c>
      <c r="F23" s="49" t="s">
        <v>38</v>
      </c>
      <c r="G23" s="48">
        <f>E23/((B23/100))</f>
        <v>10</v>
      </c>
      <c r="H23" s="49" t="s">
        <v>24</v>
      </c>
      <c r="I23" s="64">
        <f t="shared" si="3"/>
        <v>300</v>
      </c>
      <c r="J23" s="65" t="s">
        <v>24</v>
      </c>
      <c r="K23" s="51">
        <f t="shared" si="4"/>
        <v>0.66137566137566139</v>
      </c>
      <c r="L23" s="49" t="s">
        <v>25</v>
      </c>
      <c r="M23" s="53">
        <v>10</v>
      </c>
      <c r="N23" s="49">
        <v>0.5</v>
      </c>
      <c r="O23" s="54" t="s">
        <v>62</v>
      </c>
      <c r="P23" s="54">
        <f>M23/(N23*1000)*I23</f>
        <v>6</v>
      </c>
      <c r="Q23" s="49" t="s">
        <v>83</v>
      </c>
      <c r="R23" s="49"/>
      <c r="S23" s="49" t="s">
        <v>73</v>
      </c>
      <c r="T23" s="49"/>
      <c r="U23" s="49"/>
    </row>
    <row r="24" spans="1:21">
      <c r="A24" s="57" t="s">
        <v>87</v>
      </c>
      <c r="B24" s="49">
        <v>100</v>
      </c>
      <c r="C24" s="49" t="s">
        <v>28</v>
      </c>
      <c r="D24" s="49" t="s">
        <v>87</v>
      </c>
      <c r="E24" s="14">
        <v>3</v>
      </c>
      <c r="F24" s="49" t="s">
        <v>38</v>
      </c>
      <c r="G24" s="48">
        <f>E24/((B24/100))</f>
        <v>3</v>
      </c>
      <c r="H24" s="49" t="s">
        <v>24</v>
      </c>
      <c r="I24" s="64">
        <f t="shared" ref="I24" si="5">G24*$I$6</f>
        <v>90</v>
      </c>
      <c r="J24" s="65" t="s">
        <v>24</v>
      </c>
      <c r="K24" s="51">
        <f t="shared" ref="K24" si="6">I24/453.6</f>
        <v>0.1984126984126984</v>
      </c>
      <c r="L24" s="49" t="s">
        <v>25</v>
      </c>
      <c r="M24" s="53">
        <v>10</v>
      </c>
      <c r="N24" s="49">
        <v>0.5</v>
      </c>
      <c r="O24" s="54" t="s">
        <v>62</v>
      </c>
      <c r="P24" s="54">
        <f>M24/(N24*1000)*I24</f>
        <v>1.8</v>
      </c>
      <c r="Q24" s="49" t="s">
        <v>83</v>
      </c>
      <c r="R24" s="49"/>
      <c r="S24" s="49" t="s">
        <v>88</v>
      </c>
      <c r="T24" s="49"/>
      <c r="U24" s="49"/>
    </row>
    <row r="25" spans="1:21">
      <c r="A25" s="57" t="s">
        <v>74</v>
      </c>
      <c r="B25" s="49">
        <v>100</v>
      </c>
      <c r="C25" s="49" t="s">
        <v>28</v>
      </c>
      <c r="D25" s="49" t="s">
        <v>74</v>
      </c>
      <c r="E25" s="14">
        <v>10000</v>
      </c>
      <c r="F25" s="49" t="s">
        <v>30</v>
      </c>
      <c r="G25" s="48">
        <f>E25/((B25/100)*1000)</f>
        <v>10</v>
      </c>
      <c r="H25" s="49" t="s">
        <v>24</v>
      </c>
      <c r="I25" s="64">
        <f t="shared" si="3"/>
        <v>300</v>
      </c>
      <c r="J25" s="65" t="s">
        <v>24</v>
      </c>
      <c r="K25" s="51">
        <f t="shared" si="4"/>
        <v>0.66137566137566139</v>
      </c>
      <c r="L25" s="49" t="s">
        <v>25</v>
      </c>
      <c r="M25" s="53">
        <v>20</v>
      </c>
      <c r="N25" s="49">
        <v>0.5</v>
      </c>
      <c r="O25" s="54" t="s">
        <v>62</v>
      </c>
      <c r="P25" s="54">
        <f>M25/(N25*1000)*I25</f>
        <v>12</v>
      </c>
      <c r="Q25" s="49" t="s">
        <v>83</v>
      </c>
      <c r="R25" s="49"/>
      <c r="S25" s="49" t="s">
        <v>75</v>
      </c>
      <c r="T25" s="49"/>
      <c r="U25" s="49"/>
    </row>
    <row r="26" spans="1:21">
      <c r="A26" s="75" t="s">
        <v>76</v>
      </c>
      <c r="B26" s="76">
        <v>100</v>
      </c>
      <c r="C26" s="76" t="s">
        <v>28</v>
      </c>
      <c r="D26" s="76" t="s">
        <v>76</v>
      </c>
      <c r="E26" s="77">
        <v>5000</v>
      </c>
      <c r="F26" s="76" t="s">
        <v>30</v>
      </c>
      <c r="G26" s="78">
        <f>E26/((B26/100)*1000)</f>
        <v>5</v>
      </c>
      <c r="H26" s="76" t="s">
        <v>24</v>
      </c>
      <c r="I26" s="79">
        <f t="shared" ref="I26:I27" si="7">G26*$I$6</f>
        <v>150</v>
      </c>
      <c r="J26" s="80" t="s">
        <v>24</v>
      </c>
      <c r="K26" s="81">
        <f t="shared" ref="K26:K27" si="8">I26/453.6</f>
        <v>0.3306878306878307</v>
      </c>
      <c r="L26" s="76" t="s">
        <v>25</v>
      </c>
      <c r="M26" s="53">
        <v>28</v>
      </c>
      <c r="N26" s="76">
        <v>0.5</v>
      </c>
      <c r="O26" s="82" t="s">
        <v>62</v>
      </c>
      <c r="P26" s="82">
        <f>M26/(N26*1000)*I26</f>
        <v>8.4</v>
      </c>
      <c r="Q26" s="76" t="s">
        <v>83</v>
      </c>
      <c r="R26" s="76"/>
      <c r="S26" s="76" t="s">
        <v>91</v>
      </c>
      <c r="T26" s="76"/>
      <c r="U26" s="49"/>
    </row>
    <row r="27" spans="1:21" ht="15" thickBot="1">
      <c r="A27" s="74" t="s">
        <v>89</v>
      </c>
      <c r="B27" s="50">
        <v>100</v>
      </c>
      <c r="C27" s="50" t="s">
        <v>28</v>
      </c>
      <c r="D27" s="50" t="s">
        <v>89</v>
      </c>
      <c r="E27" s="36">
        <v>10</v>
      </c>
      <c r="F27" s="83" t="s">
        <v>38</v>
      </c>
      <c r="G27" s="84">
        <f>E27/((B27/100))</f>
        <v>10</v>
      </c>
      <c r="H27" s="83" t="s">
        <v>24</v>
      </c>
      <c r="I27" s="85">
        <f t="shared" si="7"/>
        <v>300</v>
      </c>
      <c r="J27" s="86" t="s">
        <v>24</v>
      </c>
      <c r="K27" s="87">
        <f t="shared" si="8"/>
        <v>0.66137566137566139</v>
      </c>
      <c r="L27" s="83" t="s">
        <v>25</v>
      </c>
      <c r="M27" s="58">
        <v>12</v>
      </c>
      <c r="N27" s="50">
        <v>2</v>
      </c>
      <c r="O27" s="59" t="s">
        <v>25</v>
      </c>
      <c r="P27" s="59">
        <f>M27/(N27*453.6)*I27</f>
        <v>3.9682539682539679</v>
      </c>
      <c r="Q27" s="50" t="s">
        <v>83</v>
      </c>
      <c r="R27" s="50"/>
      <c r="S27" s="50" t="s">
        <v>73</v>
      </c>
      <c r="T27" s="50"/>
      <c r="U27" s="50"/>
    </row>
    <row r="28" spans="1:21" ht="15" thickTop="1">
      <c r="A28" s="37" t="s">
        <v>77</v>
      </c>
      <c r="G28" s="51">
        <f>SUM(G7:G27)-G18</f>
        <v>72.66</v>
      </c>
      <c r="H28" s="49" t="s">
        <v>24</v>
      </c>
      <c r="I28" s="70">
        <f>SUM(I7:I27)-I18</f>
        <v>2179.8000000000002</v>
      </c>
      <c r="J28" s="71" t="s">
        <v>24</v>
      </c>
      <c r="K28" s="38">
        <f>SUM(K7:K27)-K18</f>
        <v>4.8055555555555554</v>
      </c>
      <c r="L28" s="39" t="s">
        <v>25</v>
      </c>
      <c r="O28" s="40"/>
      <c r="P28" s="41">
        <f>SUM(P7:P25)</f>
        <v>25.195238095238096</v>
      </c>
      <c r="Q28" s="40"/>
    </row>
    <row r="29" spans="1:21">
      <c r="A29" s="12"/>
      <c r="B29" s="12"/>
      <c r="C29" s="12"/>
      <c r="D29" s="12"/>
      <c r="E29" s="12"/>
      <c r="F29" s="12"/>
      <c r="G29" s="42">
        <f>G28/28.4</f>
        <v>2.5584507042253519</v>
      </c>
      <c r="H29" s="43" t="s">
        <v>50</v>
      </c>
      <c r="I29" s="72">
        <f>I28/28.4</f>
        <v>76.753521126760575</v>
      </c>
      <c r="J29" s="73" t="s">
        <v>50</v>
      </c>
      <c r="K29" s="42">
        <f>K28*16</f>
        <v>76.888888888888886</v>
      </c>
      <c r="L29" s="43" t="s">
        <v>50</v>
      </c>
      <c r="M29" s="45"/>
      <c r="N29" s="45"/>
      <c r="O29" s="45"/>
      <c r="P29" s="45"/>
      <c r="Q29" s="45"/>
    </row>
    <row r="30" spans="1:21">
      <c r="C30" s="46"/>
    </row>
    <row r="31" spans="1:21">
      <c r="A31" s="47" t="s">
        <v>86</v>
      </c>
      <c r="C31" s="46"/>
      <c r="Q31" s="49" t="s">
        <v>92</v>
      </c>
    </row>
    <row r="32" spans="1:21">
      <c r="C32" s="46"/>
      <c r="M32" s="44"/>
    </row>
    <row r="33" spans="1:3">
      <c r="A33" s="47"/>
      <c r="C33" s="46"/>
    </row>
  </sheetData>
  <mergeCells count="18">
    <mergeCell ref="D6:F6"/>
    <mergeCell ref="N6:O6"/>
    <mergeCell ref="A1:Q1"/>
    <mergeCell ref="A2:J2"/>
    <mergeCell ref="M2:Q2"/>
    <mergeCell ref="A3:A4"/>
    <mergeCell ref="D3:D4"/>
    <mergeCell ref="E3:E4"/>
    <mergeCell ref="G3:J4"/>
    <mergeCell ref="K3:L6"/>
    <mergeCell ref="M3:P4"/>
    <mergeCell ref="D5:F5"/>
    <mergeCell ref="G5:H6"/>
    <mergeCell ref="I5:J5"/>
    <mergeCell ref="M5:M6"/>
    <mergeCell ref="N5:O5"/>
    <mergeCell ref="P5:Q6"/>
    <mergeCell ref="B6:C6"/>
  </mergeCells>
  <phoneticPr fontId="21" type="noConversion"/>
  <pageMargins left="0.7" right="0.7" top="0.75" bottom="0.75" header="0.3" footer="0.3"/>
  <pageSetup scale="80" orientation="landscape"/>
  <colBreaks count="1" manualBreakCount="1">
    <brk id="12" max="1048575" man="1"/>
  </colBreaks>
  <extLst>
    <ext xmlns:mx="http://schemas.microsoft.com/office/mac/excel/2008/main" uri="{64002731-A6B0-56B0-2670-7721B7C09600}">
      <mx:PLV Mode="0" OnePage="0" WScale="8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Joint Supplement</vt:lpstr>
    </vt:vector>
  </TitlesOfParts>
  <Company>Desert Equine Balance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Woodbury-Kuvik</dc:creator>
  <cp:lastModifiedBy>Patricia  Woodbury-Kuvik</cp:lastModifiedBy>
  <cp:lastPrinted>2011-07-10T03:02:31Z</cp:lastPrinted>
  <dcterms:created xsi:type="dcterms:W3CDTF">2011-04-01T22:22:26Z</dcterms:created>
  <dcterms:modified xsi:type="dcterms:W3CDTF">2011-12-18T18:01:48Z</dcterms:modified>
</cp:coreProperties>
</file>